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<sst xmlns="http://schemas.openxmlformats.org/spreadsheetml/2006/main" count="81" uniqueCount="63">
  <si>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</si>
  <si>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</si>
  <si>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</si>
  <si>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</si>
  <si>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</si>
  <si>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</si>
  <si>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</si>
  <si>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</si>
  <si>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</si>
  <si>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</si>
  <si>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</si>
  <si>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</si>
  <si>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</si>
  <si>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</si>
  <si>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</si>
  <si>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</si>
  <si>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</si>
  <si>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</si>
  <si>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</si>
  <si>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</si>
  <si>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</si>
  <si>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</si>
  <si>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</si>
  <si>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</si>
  <si>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</si>
  <si>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</si>
  <si>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</si>
  <si>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</si>
  <si>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</si>
  <si>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</si>
  <si>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</si>
  <si>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</si>
  <si>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</si>
  <si>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</si>
  <si>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</si>
  <si>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</si>
  <si>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</si>
  <si>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</si>
  <si>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</si>
  <si>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</si>
  <si>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</si>
  <si>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</si>
  <si>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</si>
  <si>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</si>
  <si>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</si>
  <si>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</si>
  <si>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</si>
  <si>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</si>
  <si>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</si>
  <si>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</si>
  <si>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</si>
  <si>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</si>
  <si>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</si>
  <si>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</si>
  <si>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</si>
  <si>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</si>
  <si>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</si>
  <si>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</si>
  <si>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</si>
  <si>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</si>
  <si>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</si>
  <si>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t>муниципального района Сергиевский № 41</t>
  </si>
  <si>
    <t>от "31" июля   2014г.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</si>
</sst>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/>
      <protection/>
    </xf>
    <xf numFmtId="1" fontId="16" fillId="0" borderId="10" xfId="0" applyNumberFormat="1" applyFont="1" applyFill="1" applyBorder="1" applyAlignment="1">
      <alignment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60"/>
      <c r="B1" s="60"/>
      <c r="C1" s="60"/>
      <c r="D1" s="60"/>
      <c r="E1" s="60"/>
      <c r="F1" s="60"/>
      <c r="G1" s="60"/>
      <c r="H1" s="60"/>
    </row>
    <row r="2" spans="1:8" ht="22.5" customHeight="1" hidden="1">
      <c r="A2" s="59"/>
      <c r="B2" s="59"/>
      <c r="C2" s="59"/>
      <c r="D2" s="59"/>
      <c r="E2" s="59"/>
      <c r="F2" s="59"/>
      <c r="G2" s="59"/>
      <c r="H2" s="59"/>
    </row>
    <row r="3" spans="1:8" ht="12.75" hidden="1">
      <c r="A3" s="55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5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5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8" t="s">
        <v>58</v>
      </c>
      <c r="G7" s="58"/>
      <c r="H7" s="58"/>
      <c r="I7" s="21"/>
    </row>
    <row r="8" ht="10.5" customHeight="1">
      <c r="B8" s="7"/>
    </row>
    <row r="9" ht="12.75" hidden="1">
      <c r="B9" s="7"/>
    </row>
    <row r="10" spans="2:8" ht="18.75">
      <c r="B10" s="67" t="s">
        <v>37</v>
      </c>
      <c r="C10" s="67"/>
      <c r="D10" s="67"/>
      <c r="E10" s="67"/>
      <c r="F10" s="67"/>
      <c r="G10" s="67"/>
      <c r="H10" s="67"/>
    </row>
    <row r="11" spans="1:8" ht="18.75">
      <c r="A11" s="11"/>
      <c r="B11" s="66" t="s">
        <v>38</v>
      </c>
      <c r="C11" s="66"/>
      <c r="D11" s="66"/>
      <c r="E11" s="66"/>
      <c r="F11" s="66"/>
      <c r="G11" s="66"/>
      <c r="H11" s="66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61" t="s">
        <v>15</v>
      </c>
      <c r="B13" s="63" t="s">
        <v>39</v>
      </c>
      <c r="C13" s="63"/>
      <c r="D13" s="63"/>
      <c r="E13" s="63"/>
      <c r="F13" s="19">
        <f>E3</f>
        <v>1274</v>
      </c>
      <c r="G13" s="62">
        <f>IF(F14=G39,"","Необходим пересчёт дотаций!
Нажмите на кнопку 'Расчёт'!")</f>
      </c>
      <c r="H13" s="62"/>
    </row>
    <row r="14" spans="1:8" s="3" customFormat="1" ht="17.25" customHeight="1">
      <c r="A14" s="61"/>
      <c r="B14" s="63" t="s">
        <v>40</v>
      </c>
      <c r="C14" s="63"/>
      <c r="D14" s="63"/>
      <c r="E14" s="63"/>
      <c r="F14" s="19">
        <f>E4</f>
        <v>300</v>
      </c>
      <c r="G14" s="62"/>
      <c r="H14" s="62"/>
    </row>
    <row r="15" spans="1:8" s="3" customFormat="1" ht="12.75" customHeight="1">
      <c r="A15" s="61"/>
      <c r="B15" s="64" t="s">
        <v>41</v>
      </c>
      <c r="C15" s="64"/>
      <c r="D15" s="64"/>
      <c r="E15" s="64">
        <v>-37778706683311340</v>
      </c>
      <c r="F15" s="22">
        <f>SUM(F13:F14)</f>
        <v>1574</v>
      </c>
      <c r="G15" s="62"/>
      <c r="H15" s="62"/>
    </row>
    <row r="16" spans="1:8" s="3" customFormat="1" ht="12.75" customHeight="1">
      <c r="A16" s="61"/>
      <c r="B16" s="14"/>
      <c r="F16" s="13"/>
      <c r="G16" s="62"/>
      <c r="H16" s="62"/>
    </row>
    <row r="17" spans="1:8" s="3" customFormat="1" ht="12.75" customHeight="1">
      <c r="A17" s="61"/>
      <c r="B17" s="65" t="s">
        <v>12</v>
      </c>
      <c r="C17" s="65"/>
      <c r="D17" s="65"/>
      <c r="E17" s="15">
        <v>456.9418960244648</v>
      </c>
      <c r="F17" s="16">
        <f>IF(G39&gt;F14,"меньше",IF(G39&lt;F14,"больше",""))</f>
      </c>
      <c r="G17" s="62"/>
      <c r="H17" s="62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7" t="s">
        <v>6</v>
      </c>
      <c r="C19" s="57" t="s">
        <v>17</v>
      </c>
      <c r="D19" s="57" t="s">
        <v>42</v>
      </c>
      <c r="E19" s="57" t="s">
        <v>18</v>
      </c>
      <c r="F19" s="56" t="s">
        <v>11</v>
      </c>
      <c r="G19" s="56"/>
      <c r="H19" s="56"/>
    </row>
    <row r="20" spans="2:8" s="3" customFormat="1" ht="94.5">
      <c r="B20" s="57"/>
      <c r="C20" s="57"/>
      <c r="D20" s="57"/>
      <c r="E20" s="57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C1">
      <selection activeCell="G4" sqref="G4:J4"/>
    </sheetView>
  </sheetViews>
  <sheetFormatPr defaultColWidth="9.00390625" defaultRowHeight="12.75"/>
  <cols>
    <col min="1" max="1" width="4.375" style="33" customWidth="1"/>
    <col min="2" max="2" width="39.875" style="33" customWidth="1"/>
    <col min="3" max="10" width="14.75390625" style="46" customWidth="1"/>
    <col min="11" max="16384" width="9.125" style="33" customWidth="1"/>
  </cols>
  <sheetData>
    <row r="1" spans="6:10" ht="15.75">
      <c r="F1" s="47"/>
      <c r="G1" s="77" t="s">
        <v>60</v>
      </c>
      <c r="H1" s="77"/>
      <c r="I1" s="77"/>
      <c r="J1" s="77"/>
    </row>
    <row r="2" spans="6:10" ht="15.75">
      <c r="F2" s="47"/>
      <c r="G2" s="77" t="s">
        <v>43</v>
      </c>
      <c r="H2" s="77"/>
      <c r="I2" s="77"/>
      <c r="J2" s="77"/>
    </row>
    <row r="3" spans="6:10" ht="15.75">
      <c r="F3" s="47"/>
      <c r="G3" s="77" t="s">
        <v>61</v>
      </c>
      <c r="H3" s="77"/>
      <c r="I3" s="77"/>
      <c r="J3" s="77"/>
    </row>
    <row r="4" spans="6:10" ht="15.75">
      <c r="F4" s="47"/>
      <c r="G4" s="77" t="s">
        <v>62</v>
      </c>
      <c r="H4" s="77"/>
      <c r="I4" s="77"/>
      <c r="J4" s="77"/>
    </row>
    <row r="6" spans="2:9" ht="18.75">
      <c r="B6" s="78" t="s">
        <v>59</v>
      </c>
      <c r="C6" s="78"/>
      <c r="D6" s="78"/>
      <c r="E6" s="78"/>
      <c r="F6" s="78"/>
      <c r="G6" s="78"/>
      <c r="H6" s="78"/>
      <c r="I6" s="48"/>
    </row>
    <row r="7" spans="2:9" ht="18.75">
      <c r="B7" s="78" t="s">
        <v>38</v>
      </c>
      <c r="C7" s="78"/>
      <c r="D7" s="78"/>
      <c r="E7" s="78"/>
      <c r="F7" s="78"/>
      <c r="G7" s="78"/>
      <c r="H7" s="78"/>
      <c r="I7" s="48"/>
    </row>
    <row r="8" spans="2:8" ht="18.75">
      <c r="B8" s="39"/>
      <c r="C8" s="49"/>
      <c r="D8" s="49"/>
      <c r="E8" s="49"/>
      <c r="F8" s="49"/>
      <c r="G8" s="49"/>
      <c r="H8" s="49"/>
    </row>
    <row r="9" ht="15.75">
      <c r="J9" s="50" t="s">
        <v>44</v>
      </c>
    </row>
    <row r="10" spans="1:10" ht="36" customHeight="1">
      <c r="A10" s="40" t="s">
        <v>45</v>
      </c>
      <c r="B10" s="41"/>
      <c r="C10" s="68" t="s">
        <v>46</v>
      </c>
      <c r="D10" s="69"/>
      <c r="E10" s="69"/>
      <c r="F10" s="70"/>
      <c r="G10" s="71" t="s">
        <v>47</v>
      </c>
      <c r="H10" s="74" t="s">
        <v>48</v>
      </c>
      <c r="I10" s="74" t="s">
        <v>49</v>
      </c>
      <c r="J10" s="74" t="s">
        <v>50</v>
      </c>
    </row>
    <row r="11" spans="1:10" ht="51.75" customHeight="1">
      <c r="A11" s="42" t="s">
        <v>51</v>
      </c>
      <c r="B11" s="42" t="s">
        <v>52</v>
      </c>
      <c r="C11" s="74" t="s">
        <v>53</v>
      </c>
      <c r="D11" s="74" t="s">
        <v>54</v>
      </c>
      <c r="E11" s="74" t="s">
        <v>55</v>
      </c>
      <c r="F11" s="74" t="s">
        <v>56</v>
      </c>
      <c r="G11" s="72"/>
      <c r="H11" s="75"/>
      <c r="I11" s="75"/>
      <c r="J11" s="75"/>
    </row>
    <row r="12" spans="1:10" ht="41.25" customHeight="1">
      <c r="A12" s="43"/>
      <c r="B12" s="44"/>
      <c r="C12" s="76"/>
      <c r="D12" s="76"/>
      <c r="E12" s="76"/>
      <c r="F12" s="76"/>
      <c r="G12" s="73"/>
      <c r="H12" s="76"/>
      <c r="I12" s="76"/>
      <c r="J12" s="76"/>
    </row>
    <row r="13" spans="1:10" s="34" customFormat="1" ht="15.75">
      <c r="A13" s="35">
        <v>1</v>
      </c>
      <c r="B13" s="3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</row>
    <row r="14" spans="1:10" s="1" customFormat="1" ht="14.25" customHeight="1">
      <c r="A14" s="36">
        <v>1</v>
      </c>
      <c r="B14" s="26" t="s">
        <v>20</v>
      </c>
      <c r="C14" s="51">
        <f>'[2]Дотации'!$H$19</f>
        <v>2520.0262355797095</v>
      </c>
      <c r="D14" s="52">
        <v>31914.70389</v>
      </c>
      <c r="E14" s="52">
        <v>5926.73303</v>
      </c>
      <c r="F14" s="51">
        <f>SUM(C14:E14)</f>
        <v>40361.46315557971</v>
      </c>
      <c r="G14" s="51">
        <f>44800.4386-694.44486</f>
        <v>44105.99374</v>
      </c>
      <c r="H14" s="51">
        <f>F14-G14</f>
        <v>-3744.5305844202885</v>
      </c>
      <c r="I14" s="51">
        <f>(D14+E14)*0.1</f>
        <v>3784.143692</v>
      </c>
      <c r="J14" s="53">
        <v>0</v>
      </c>
    </row>
    <row r="15" spans="1:10" s="1" customFormat="1" ht="14.25" customHeight="1">
      <c r="A15" s="36">
        <v>2</v>
      </c>
      <c r="B15" s="26" t="s">
        <v>21</v>
      </c>
      <c r="C15" s="51">
        <f>'[2]Дотации'!$H$20</f>
        <v>868.4408346043954</v>
      </c>
      <c r="D15" s="52">
        <v>1039.42302</v>
      </c>
      <c r="E15" s="52">
        <v>63.74669</v>
      </c>
      <c r="F15" s="51">
        <f aca="true" t="shared" si="0" ref="F15:F30">SUM(C15:E15)</f>
        <v>1971.6105446043953</v>
      </c>
      <c r="G15" s="51">
        <f>2114.41547-102.07487</f>
        <v>2012.3406</v>
      </c>
      <c r="H15" s="51">
        <f aca="true" t="shared" si="1" ref="H15:H30">F15-G15</f>
        <v>-40.73005539560472</v>
      </c>
      <c r="I15" s="51">
        <f>(D15+E15)*0.05</f>
        <v>55.1584855</v>
      </c>
      <c r="J15" s="53">
        <v>0</v>
      </c>
    </row>
    <row r="16" spans="1:10" s="1" customFormat="1" ht="14.25" customHeight="1">
      <c r="A16" s="36">
        <v>3</v>
      </c>
      <c r="B16" s="26" t="s">
        <v>22</v>
      </c>
      <c r="C16" s="51">
        <f>'[2]Дотации'!$H$21</f>
        <v>512.5146611097985</v>
      </c>
      <c r="D16" s="52">
        <v>1942.72955</v>
      </c>
      <c r="E16" s="52">
        <v>358.29412</v>
      </c>
      <c r="F16" s="51">
        <f t="shared" si="0"/>
        <v>2813.5383311097985</v>
      </c>
      <c r="G16" s="51">
        <f>3380.14757-361.26383</f>
        <v>3018.88374</v>
      </c>
      <c r="H16" s="51">
        <f t="shared" si="1"/>
        <v>-205.34540889020172</v>
      </c>
      <c r="I16" s="51">
        <f>(D16+E16)*0.1</f>
        <v>230.10236700000002</v>
      </c>
      <c r="J16" s="53">
        <v>0</v>
      </c>
    </row>
    <row r="17" spans="1:10" s="1" customFormat="1" ht="14.25" customHeight="1">
      <c r="A17" s="36">
        <v>4</v>
      </c>
      <c r="B17" s="26" t="s">
        <v>23</v>
      </c>
      <c r="C17" s="51">
        <f>'[2]Дотации'!$H$22</f>
        <v>810.8554177318524</v>
      </c>
      <c r="D17" s="52">
        <v>3718.35005</v>
      </c>
      <c r="E17" s="52">
        <v>2470.38124</v>
      </c>
      <c r="F17" s="51">
        <f t="shared" si="0"/>
        <v>6999.586707731853</v>
      </c>
      <c r="G17" s="51">
        <f>7630.72846-48.7824</f>
        <v>7581.94606</v>
      </c>
      <c r="H17" s="51">
        <f t="shared" si="1"/>
        <v>-582.3593522681476</v>
      </c>
      <c r="I17" s="51">
        <f>(D17+E17)*0.1</f>
        <v>618.8731290000001</v>
      </c>
      <c r="J17" s="53">
        <v>0</v>
      </c>
    </row>
    <row r="18" spans="1:10" s="1" customFormat="1" ht="14.25" customHeight="1">
      <c r="A18" s="36">
        <v>5</v>
      </c>
      <c r="B18" s="26" t="s">
        <v>24</v>
      </c>
      <c r="C18" s="51">
        <f>'[2]Дотации'!$H$23</f>
        <v>2100.593693742078</v>
      </c>
      <c r="D18" s="52">
        <v>2026.83158</v>
      </c>
      <c r="E18" s="52">
        <v>588.93187</v>
      </c>
      <c r="F18" s="51">
        <f t="shared" si="0"/>
        <v>4716.357143742078</v>
      </c>
      <c r="G18" s="51">
        <f>6287.91789-7.77257-0.000005</f>
        <v>6280.145315</v>
      </c>
      <c r="H18" s="51">
        <f t="shared" si="1"/>
        <v>-1563.788171257922</v>
      </c>
      <c r="I18" s="51">
        <f>(D18+E18)*0.05</f>
        <v>130.7881725</v>
      </c>
      <c r="J18" s="53">
        <f>IF(F18-G18&gt;0,0,IF(F18-G18&lt;0,-(I18+H18)))</f>
        <v>1432.999998757922</v>
      </c>
    </row>
    <row r="19" spans="1:10" s="1" customFormat="1" ht="14.25" customHeight="1">
      <c r="A19" s="36">
        <v>6</v>
      </c>
      <c r="B19" s="26" t="s">
        <v>25</v>
      </c>
      <c r="C19" s="51">
        <f>'[2]Дотации'!$H$24</f>
        <v>791.7094777546242</v>
      </c>
      <c r="D19" s="52">
        <v>2022.14586</v>
      </c>
      <c r="E19" s="52">
        <v>3883.53873</v>
      </c>
      <c r="F19" s="51">
        <f t="shared" si="0"/>
        <v>6697.394067754624</v>
      </c>
      <c r="G19" s="51">
        <f>7298.46142-28.44031</f>
        <v>7270.02111</v>
      </c>
      <c r="H19" s="51">
        <f t="shared" si="1"/>
        <v>-572.6270422453754</v>
      </c>
      <c r="I19" s="51">
        <f>(D19+E19)*0.1</f>
        <v>590.5684590000001</v>
      </c>
      <c r="J19" s="53">
        <v>0</v>
      </c>
    </row>
    <row r="20" spans="1:10" s="1" customFormat="1" ht="14.25" customHeight="1">
      <c r="A20" s="36">
        <v>7</v>
      </c>
      <c r="B20" s="26" t="s">
        <v>26</v>
      </c>
      <c r="C20" s="51">
        <f>'[2]Дотации'!$H$25</f>
        <v>1699.1885213431008</v>
      </c>
      <c r="D20" s="52">
        <v>2623.55735</v>
      </c>
      <c r="E20" s="52">
        <v>-5061.82884</v>
      </c>
      <c r="F20" s="51">
        <f t="shared" si="0"/>
        <v>-739.0829686568995</v>
      </c>
      <c r="G20" s="51">
        <f>14952.708-11915.6181199999</f>
        <v>3037.0898800001014</v>
      </c>
      <c r="H20" s="51">
        <f t="shared" si="1"/>
        <v>-3776.172848657001</v>
      </c>
      <c r="I20" s="51">
        <f>(D20+E20)*0.1</f>
        <v>-243.82714900000002</v>
      </c>
      <c r="J20" s="53">
        <f>IF(F20-G20&gt;0,0,IF(F20-G20&lt;0,-(I20+H20)))</f>
        <v>4019.999997657001</v>
      </c>
    </row>
    <row r="21" spans="1:10" s="1" customFormat="1" ht="14.25" customHeight="1">
      <c r="A21" s="36">
        <v>8</v>
      </c>
      <c r="B21" s="26" t="s">
        <v>27</v>
      </c>
      <c r="C21" s="51">
        <f>'[2]Дотации'!$H$26</f>
        <v>896.2803342714132</v>
      </c>
      <c r="D21" s="52">
        <v>1579.04006</v>
      </c>
      <c r="E21" s="52">
        <v>555.94459</v>
      </c>
      <c r="F21" s="51">
        <f t="shared" si="0"/>
        <v>3031.264984271413</v>
      </c>
      <c r="G21" s="51">
        <f>4137.02776-49.91354</f>
        <v>4087.11422</v>
      </c>
      <c r="H21" s="51">
        <f t="shared" si="1"/>
        <v>-1055.8492357285868</v>
      </c>
      <c r="I21" s="51">
        <f>(D21+E21)*0.05</f>
        <v>106.7492325</v>
      </c>
      <c r="J21" s="53">
        <f>IF(F21-G21&gt;0,0,IF(F21-G21&lt;0,-(I21+H21)))</f>
        <v>949.1000032285867</v>
      </c>
    </row>
    <row r="22" spans="1:10" s="1" customFormat="1" ht="14.25" customHeight="1">
      <c r="A22" s="36">
        <v>9</v>
      </c>
      <c r="B22" s="26" t="s">
        <v>28</v>
      </c>
      <c r="C22" s="51">
        <f>'[2]Дотации'!$H$27</f>
        <v>1595.4732486197342</v>
      </c>
      <c r="D22" s="52">
        <v>1380.03316</v>
      </c>
      <c r="E22" s="52">
        <v>35.71922</v>
      </c>
      <c r="F22" s="51">
        <f t="shared" si="0"/>
        <v>3011.2256286197344</v>
      </c>
      <c r="G22" s="51">
        <f>3216.69452-24.68127</f>
        <v>3192.01325</v>
      </c>
      <c r="H22" s="51">
        <f t="shared" si="1"/>
        <v>-180.7876213802656</v>
      </c>
      <c r="I22" s="51">
        <f>(D22+E22)*0.05</f>
        <v>70.78761899999999</v>
      </c>
      <c r="J22" s="53">
        <f>IF(F22-G22&gt;0,0,IF(F22-G22&lt;0,-(I22+H22)))</f>
        <v>110.0000023802656</v>
      </c>
    </row>
    <row r="23" spans="1:10" s="1" customFormat="1" ht="14.25" customHeight="1">
      <c r="A23" s="36">
        <v>10</v>
      </c>
      <c r="B23" s="26" t="s">
        <v>29</v>
      </c>
      <c r="C23" s="51">
        <f>'[2]Дотации'!$H$28</f>
        <v>1298.0173419407506</v>
      </c>
      <c r="D23" s="52">
        <v>938.37986</v>
      </c>
      <c r="E23" s="52">
        <v>1330.93829</v>
      </c>
      <c r="F23" s="51">
        <f t="shared" si="0"/>
        <v>3567.3354919407507</v>
      </c>
      <c r="G23" s="51">
        <f>4619.39795-112.79655</f>
        <v>4506.6014</v>
      </c>
      <c r="H23" s="51">
        <f t="shared" si="1"/>
        <v>-939.2659080592489</v>
      </c>
      <c r="I23" s="51">
        <f>(D23+E23)*0.05</f>
        <v>113.46590750000001</v>
      </c>
      <c r="J23" s="53">
        <f>IF(F23-G23&gt;0,0,IF(F23-G23&lt;0,-(I23+H23)))</f>
        <v>825.8000005592489</v>
      </c>
    </row>
    <row r="24" spans="1:10" s="1" customFormat="1" ht="14.25" customHeight="1">
      <c r="A24" s="36">
        <v>11</v>
      </c>
      <c r="B24" s="26" t="s">
        <v>30</v>
      </c>
      <c r="C24" s="51">
        <f>'[2]Дотации'!$H$29</f>
        <v>1175.9558181701004</v>
      </c>
      <c r="D24" s="52">
        <v>1821.51137</v>
      </c>
      <c r="E24" s="52">
        <v>2636.96148</v>
      </c>
      <c r="F24" s="51">
        <f t="shared" si="0"/>
        <v>5634.4286681701005</v>
      </c>
      <c r="G24" s="51">
        <f>6095.33312-49.04748</f>
        <v>6046.28564</v>
      </c>
      <c r="H24" s="51">
        <f t="shared" si="1"/>
        <v>-411.8569718298995</v>
      </c>
      <c r="I24" s="51">
        <f>(D24+E24)*0.1</f>
        <v>445.84728500000006</v>
      </c>
      <c r="J24" s="53">
        <v>0</v>
      </c>
    </row>
    <row r="25" spans="1:10" s="1" customFormat="1" ht="14.25" customHeight="1">
      <c r="A25" s="36">
        <v>12</v>
      </c>
      <c r="B25" s="26" t="s">
        <v>31</v>
      </c>
      <c r="C25" s="51">
        <f>'[2]Дотации'!$H$30</f>
        <v>1011.682692216804</v>
      </c>
      <c r="D25" s="52">
        <v>751.0926</v>
      </c>
      <c r="E25" s="52">
        <v>905.91228</v>
      </c>
      <c r="F25" s="51">
        <f t="shared" si="0"/>
        <v>2668.687572216804</v>
      </c>
      <c r="G25" s="51">
        <f>2816.24436-16.03445</f>
        <v>2800.20991</v>
      </c>
      <c r="H25" s="51">
        <f t="shared" si="1"/>
        <v>-131.52233778319624</v>
      </c>
      <c r="I25" s="51">
        <f>(D25+E25)*0.1</f>
        <v>165.700488</v>
      </c>
      <c r="J25" s="53">
        <v>0</v>
      </c>
    </row>
    <row r="26" spans="1:10" s="1" customFormat="1" ht="14.25" customHeight="1">
      <c r="A26" s="36">
        <v>13</v>
      </c>
      <c r="B26" s="26" t="s">
        <v>32</v>
      </c>
      <c r="C26" s="51">
        <f>'[2]Дотации'!$H$31</f>
        <v>2153.3554847579976</v>
      </c>
      <c r="D26" s="52">
        <v>2117.91272</v>
      </c>
      <c r="E26" s="52">
        <v>2920.96439</v>
      </c>
      <c r="F26" s="51">
        <f t="shared" si="0"/>
        <v>7192.2325947579975</v>
      </c>
      <c r="G26" s="51">
        <f>7640.57505-210.45095</f>
        <v>7430.1241</v>
      </c>
      <c r="H26" s="51">
        <f t="shared" si="1"/>
        <v>-237.8915052420025</v>
      </c>
      <c r="I26" s="51">
        <f>(D26+E26)*0.05</f>
        <v>251.94385549999998</v>
      </c>
      <c r="J26" s="53">
        <v>0</v>
      </c>
    </row>
    <row r="27" spans="1:10" s="1" customFormat="1" ht="14.25" customHeight="1">
      <c r="A27" s="36">
        <v>14</v>
      </c>
      <c r="B27" s="26" t="s">
        <v>33</v>
      </c>
      <c r="C27" s="51">
        <f>'[2]Дотации'!$H$32</f>
        <v>1256.0963670540732</v>
      </c>
      <c r="D27" s="52">
        <v>20914.78745</v>
      </c>
      <c r="E27" s="52">
        <v>2037.33844</v>
      </c>
      <c r="F27" s="51">
        <f t="shared" si="0"/>
        <v>24208.222257054073</v>
      </c>
      <c r="G27" s="51">
        <f>26154.93188-838.43068</f>
        <v>25316.5012</v>
      </c>
      <c r="H27" s="51">
        <f t="shared" si="1"/>
        <v>-1108.2789429459262</v>
      </c>
      <c r="I27" s="51">
        <f>(D27+E27)*0.05</f>
        <v>1147.6062945</v>
      </c>
      <c r="J27" s="53">
        <v>0</v>
      </c>
    </row>
    <row r="28" spans="1:10" s="1" customFormat="1" ht="14.25" customHeight="1">
      <c r="A28" s="36">
        <v>15</v>
      </c>
      <c r="B28" s="26" t="s">
        <v>34</v>
      </c>
      <c r="C28" s="51">
        <f>'[2]Дотации'!$H$33</f>
        <v>2653.129890438034</v>
      </c>
      <c r="D28" s="52">
        <v>7876.96003</v>
      </c>
      <c r="E28" s="52">
        <v>102.88</v>
      </c>
      <c r="F28" s="51">
        <f t="shared" si="0"/>
        <v>10632.969920438034</v>
      </c>
      <c r="G28" s="51">
        <f>11720.14263-303.50823</f>
        <v>11416.6344</v>
      </c>
      <c r="H28" s="51">
        <f t="shared" si="1"/>
        <v>-783.6644795619668</v>
      </c>
      <c r="I28" s="51">
        <f>(D28+E28)*0.1</f>
        <v>797.984003</v>
      </c>
      <c r="J28" s="53">
        <v>0</v>
      </c>
    </row>
    <row r="29" spans="1:10" s="1" customFormat="1" ht="14.25" customHeight="1">
      <c r="A29" s="36">
        <v>16</v>
      </c>
      <c r="B29" s="26" t="s">
        <v>35</v>
      </c>
      <c r="C29" s="51">
        <f>'[2]Дотации'!$H$34</f>
        <v>3412.704195793681</v>
      </c>
      <c r="D29" s="52">
        <v>6803.06147</v>
      </c>
      <c r="E29" s="52">
        <v>1097.363</v>
      </c>
      <c r="F29" s="51">
        <f t="shared" si="0"/>
        <v>11313.12866579368</v>
      </c>
      <c r="G29" s="51">
        <f>17399.90453-226.91342</f>
        <v>17172.99111</v>
      </c>
      <c r="H29" s="51">
        <f t="shared" si="1"/>
        <v>-5859.862444206319</v>
      </c>
      <c r="I29" s="51">
        <f>(D29+E29)*0.1</f>
        <v>790.042447</v>
      </c>
      <c r="J29" s="53">
        <f>IF(F29-G29&gt;0,0,IF(F29-G29&lt;0,-(I29+H29)))</f>
        <v>5069.819997206319</v>
      </c>
    </row>
    <row r="30" spans="1:10" s="1" customFormat="1" ht="14.25" customHeight="1">
      <c r="A30" s="36">
        <v>17</v>
      </c>
      <c r="B30" s="26" t="s">
        <v>36</v>
      </c>
      <c r="C30" s="51">
        <f>'[2]Дотации'!$H$35</f>
        <v>1509.9757848718557</v>
      </c>
      <c r="D30" s="52">
        <v>2259.92738</v>
      </c>
      <c r="E30" s="52">
        <v>2699.89234</v>
      </c>
      <c r="F30" s="51">
        <f t="shared" si="0"/>
        <v>6469.795504871856</v>
      </c>
      <c r="G30" s="51">
        <f>7040.0426-86.77976</f>
        <v>6953.262839999999</v>
      </c>
      <c r="H30" s="51">
        <f t="shared" si="1"/>
        <v>-483.46733512814353</v>
      </c>
      <c r="I30" s="51">
        <f>(D30+E30)*0.1</f>
        <v>495.981972</v>
      </c>
      <c r="J30" s="53">
        <v>0</v>
      </c>
    </row>
    <row r="31" spans="1:10" ht="23.25" customHeight="1">
      <c r="A31" s="37"/>
      <c r="B31" s="38" t="s">
        <v>57</v>
      </c>
      <c r="C31" s="54">
        <f>SUM(C14:C30)</f>
        <v>26266.000000000004</v>
      </c>
      <c r="D31" s="54">
        <f aca="true" t="shared" si="2" ref="D31:I31">SUM(D14:D30)</f>
        <v>91730.44739999999</v>
      </c>
      <c r="E31" s="54">
        <f>SUM(E14:E30)</f>
        <v>22553.710870000003</v>
      </c>
      <c r="F31" s="54">
        <f>SUM(F14:F30)</f>
        <v>140550.15827</v>
      </c>
      <c r="G31" s="54">
        <f>SUM(G14:G30)</f>
        <v>162228.15851500013</v>
      </c>
      <c r="H31" s="54">
        <f t="shared" si="2"/>
        <v>-21678.000245000097</v>
      </c>
      <c r="I31" s="54">
        <f t="shared" si="2"/>
        <v>9551.91626</v>
      </c>
      <c r="J31" s="54">
        <f>SUM(J14:J30)</f>
        <v>12407.719999789344</v>
      </c>
    </row>
  </sheetData>
  <sheetProtection/>
  <mergeCells count="15">
    <mergeCell ref="G1:J1"/>
    <mergeCell ref="G2:J2"/>
    <mergeCell ref="G3:J3"/>
    <mergeCell ref="G4:J4"/>
    <mergeCell ref="B6:H6"/>
    <mergeCell ref="B7:H7"/>
    <mergeCell ref="C10:F10"/>
    <mergeCell ref="G10:G12"/>
    <mergeCell ref="H10:H12"/>
    <mergeCell ref="I10:I12"/>
    <mergeCell ref="J10:J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2014-07-23T12:39:08Z</cp:lastPrinted>
  <dcterms:created xsi:type="dcterms:W3CDTF">1998-09-07T09:31:30Z</dcterms:created>
  <dcterms:modified xsi:type="dcterms:W3CDTF">2014-07-30T10:32:49Z</dcterms:modified>
  <cp:category/>
  <cp:version/>
  <cp:contentType/>
  <cp:contentStatus/>
</cp:coreProperties>
</file>